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лан" sheetId="1" r:id="rId4"/>
    <sheet state="visible" name="Плановая выручка, себестоимость" sheetId="2" r:id="rId5"/>
    <sheet state="visible" name="комуслуги" sheetId="3" r:id="rId6"/>
    <sheet state="visible" name="Основные средства" sheetId="4" r:id="rId7"/>
    <sheet state="visible" name="постоянные расходы" sheetId="5" r:id="rId8"/>
  </sheets>
  <definedNames/>
  <calcPr/>
</workbook>
</file>

<file path=xl/sharedStrings.xml><?xml version="1.0" encoding="utf-8"?>
<sst xmlns="http://schemas.openxmlformats.org/spreadsheetml/2006/main" count="87" uniqueCount="75">
  <si>
    <t>1 год</t>
  </si>
  <si>
    <t>2 год</t>
  </si>
  <si>
    <t>ИТОГО</t>
  </si>
  <si>
    <t>Плановая в мес.</t>
  </si>
  <si>
    <t>0 период</t>
  </si>
  <si>
    <t>1 кв</t>
  </si>
  <si>
    <t>2 кв</t>
  </si>
  <si>
    <t>3 кв</t>
  </si>
  <si>
    <t>4 кв</t>
  </si>
  <si>
    <t>Плановая выручка</t>
  </si>
  <si>
    <t>Процент реализации</t>
  </si>
  <si>
    <t>ИТОГО продажи</t>
  </si>
  <si>
    <t>Инвестии</t>
  </si>
  <si>
    <t>ИТОГО переменные расходы</t>
  </si>
  <si>
    <t>Себестоимость</t>
  </si>
  <si>
    <t>Тара</t>
  </si>
  <si>
    <t>Коммунальные услуги</t>
  </si>
  <si>
    <t>ИТОГО постоянные расходы</t>
  </si>
  <si>
    <t>УСН 6%</t>
  </si>
  <si>
    <t>Страховые взносы ИП</t>
  </si>
  <si>
    <t>Валовая маржа</t>
  </si>
  <si>
    <t>% маржи</t>
  </si>
  <si>
    <t>Прибыль</t>
  </si>
  <si>
    <t>Накопленным итогом</t>
  </si>
  <si>
    <t>Рентабельность</t>
  </si>
  <si>
    <t>Срок окупаемости, мес</t>
  </si>
  <si>
    <t>Диаметр стержня, мм</t>
  </si>
  <si>
    <t>Длина гвоздя, мм</t>
  </si>
  <si>
    <t>Вес гвоздя, шт./кг.</t>
  </si>
  <si>
    <t>Время работы станка, мин./мес.</t>
  </si>
  <si>
    <t>Максимальная производительность, шт./мин.</t>
  </si>
  <si>
    <t>Максимум произведено кг. гвоздей в месяц</t>
  </si>
  <si>
    <t xml:space="preserve">Средняя цена за 1 кг. в картонной коробке </t>
  </si>
  <si>
    <t>Выручка руб./мес</t>
  </si>
  <si>
    <t>Проволока руб./кг</t>
  </si>
  <si>
    <t>Проволока руб./мес.</t>
  </si>
  <si>
    <t>Упаковка кг. гвоздей в коробе</t>
  </si>
  <si>
    <t>Цена за короб</t>
  </si>
  <si>
    <t>Упакова руб./мес.</t>
  </si>
  <si>
    <t>Руб./мес</t>
  </si>
  <si>
    <t>тариф руб.</t>
  </si>
  <si>
    <t>расход куб.м.</t>
  </si>
  <si>
    <t>Водоотведение</t>
  </si>
  <si>
    <t>норматив</t>
  </si>
  <si>
    <t>площадь кв.м.</t>
  </si>
  <si>
    <t>Отопление</t>
  </si>
  <si>
    <t>ИТОГО эл-во</t>
  </si>
  <si>
    <t>Мощность кВт/час</t>
  </si>
  <si>
    <t>Кол-во часов работы в мес</t>
  </si>
  <si>
    <t>Итого кВт в мес</t>
  </si>
  <si>
    <t>Цена за кВт, руб.</t>
  </si>
  <si>
    <t>Гвоздильный станок</t>
  </si>
  <si>
    <t>Галтовочный станок</t>
  </si>
  <si>
    <t>Прочее (освещение, весы)</t>
  </si>
  <si>
    <t>ИТОГО ком услуги в мес.</t>
  </si>
  <si>
    <t>Аппарат</t>
  </si>
  <si>
    <t>Ежемесячный расход, руб.</t>
  </si>
  <si>
    <t>Гвоздильный станок, 5 кВт/час</t>
  </si>
  <si>
    <t>Галтовочный станок, 3 кВт/час</t>
  </si>
  <si>
    <t>Обьект основных средств</t>
  </si>
  <si>
    <t>Цена, руб.</t>
  </si>
  <si>
    <t>Срок службы, лет</t>
  </si>
  <si>
    <t>Амортизация ежемесячно, руб.</t>
  </si>
  <si>
    <t>Ставка налога на имущество</t>
  </si>
  <si>
    <t>Налог на имущество ежемесячно</t>
  </si>
  <si>
    <t>Производственное здание</t>
  </si>
  <si>
    <t>Станок для заточки ножей</t>
  </si>
  <si>
    <t>Статья расходов</t>
  </si>
  <si>
    <t>Сумма руб.</t>
  </si>
  <si>
    <t>Зарплата оператора станка</t>
  </si>
  <si>
    <t>Страховые взносы за работника, 30%</t>
  </si>
  <si>
    <t>Реклама</t>
  </si>
  <si>
    <t>Бухгалтер на аутсорсе</t>
  </si>
  <si>
    <t>Амортизация помещения, станков</t>
  </si>
  <si>
    <t>Налог на имущество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</si>
</sst>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sz val="8.0"/>
      <color theme="1"/>
      <name val="Arial"/>
      <scheme val="minor"/>
    </font>
    <font>
      <sz val="11.0"/>
      <color rgb="FF000000"/>
      <name val="Arial"/>
    </font>
    <font>
      <b/>
      <sz val="11.0"/>
      <color rgb="FF000000"/>
      <name val="Arial"/>
    </font>
    <font>
      <b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ADADA"/>
        <bgColor rgb="FFDADADA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3" xfId="0" applyFont="1" applyNumberFormat="1"/>
    <xf borderId="0" fillId="0" fontId="2" numFmtId="10" xfId="0" applyAlignment="1" applyFont="1" applyNumberFormat="1">
      <alignment readingOrder="0"/>
    </xf>
    <xf borderId="0" fillId="2" fontId="1" numFmtId="0" xfId="0" applyAlignment="1" applyFill="1" applyFont="1">
      <alignment readingOrder="0"/>
    </xf>
    <xf borderId="0" fillId="2" fontId="1" numFmtId="3" xfId="0" applyFont="1" applyNumberFormat="1"/>
    <xf borderId="0" fillId="2" fontId="1" numFmtId="0" xfId="0" applyFont="1"/>
    <xf borderId="0" fillId="2" fontId="1" numFmtId="3" xfId="0" applyAlignment="1" applyFont="1" applyNumberFormat="1">
      <alignment readingOrder="0"/>
    </xf>
    <xf borderId="0" fillId="2" fontId="2" numFmtId="3" xfId="0" applyFont="1" applyNumberFormat="1"/>
    <xf borderId="0" fillId="0" fontId="1" numFmtId="3" xfId="0" applyFont="1" applyNumberFormat="1"/>
    <xf borderId="0" fillId="0" fontId="2" numFmtId="3" xfId="0" applyAlignment="1" applyFont="1" applyNumberFormat="1">
      <alignment readingOrder="0"/>
    </xf>
    <xf borderId="0" fillId="3" fontId="1" numFmtId="0" xfId="0" applyAlignment="1" applyFill="1" applyFont="1">
      <alignment readingOrder="0"/>
    </xf>
    <xf borderId="0" fillId="3" fontId="1" numFmtId="3" xfId="0" applyFont="1" applyNumberFormat="1"/>
    <xf borderId="0" fillId="3" fontId="1" numFmtId="0" xfId="0" applyFont="1"/>
    <xf borderId="0" fillId="0" fontId="3" numFmtId="0" xfId="0" applyAlignment="1" applyFont="1">
      <alignment readingOrder="0"/>
    </xf>
    <xf borderId="0" fillId="0" fontId="3" numFmtId="0" xfId="0" applyFont="1"/>
    <xf borderId="0" fillId="0" fontId="3" numFmtId="10" xfId="0" applyFont="1" applyNumberFormat="1"/>
    <xf borderId="0" fillId="0" fontId="2" numFmtId="10" xfId="0" applyFont="1" applyNumberFormat="1"/>
    <xf borderId="0" fillId="4" fontId="2" numFmtId="0" xfId="0" applyAlignment="1" applyFill="1" applyFont="1">
      <alignment readingOrder="0"/>
    </xf>
    <xf borderId="0" fillId="4" fontId="2" numFmtId="10" xfId="0" applyFont="1" applyNumberFormat="1"/>
    <xf borderId="0" fillId="4" fontId="2" numFmtId="0" xfId="0" applyFont="1"/>
    <xf borderId="1" fillId="2" fontId="4" numFmtId="0" xfId="0" applyAlignment="1" applyBorder="1" applyFont="1">
      <alignment horizontal="left" readingOrder="0" shrinkToFit="0" wrapText="1"/>
    </xf>
    <xf borderId="1" fillId="2" fontId="2" numFmtId="0" xfId="0" applyBorder="1" applyFont="1"/>
    <xf borderId="1" fillId="0" fontId="5" numFmtId="0" xfId="0" applyAlignment="1" applyBorder="1" applyFont="1">
      <alignment horizontal="left" readingOrder="0" shrinkToFit="0" wrapText="1"/>
    </xf>
    <xf borderId="1" fillId="5" fontId="6" numFmtId="3" xfId="0" applyAlignment="1" applyBorder="1" applyFill="1" applyFont="1" applyNumberFormat="1">
      <alignment readingOrder="0" vertical="bottom"/>
    </xf>
    <xf borderId="1" fillId="2" fontId="1" numFmtId="3" xfId="0" applyBorder="1" applyFont="1" applyNumberFormat="1"/>
    <xf borderId="1" fillId="0" fontId="4" numFmtId="0" xfId="0" applyAlignment="1" applyBorder="1" applyFont="1">
      <alignment horizontal="left" readingOrder="0" shrinkToFit="0" wrapText="1"/>
    </xf>
    <xf borderId="1" fillId="5" fontId="2" numFmtId="3" xfId="0" applyAlignment="1" applyBorder="1" applyFont="1" applyNumberFormat="1">
      <alignment readingOrder="0"/>
    </xf>
    <xf borderId="1" fillId="2" fontId="2" numFmtId="3" xfId="0" applyBorder="1" applyFont="1" applyNumberFormat="1"/>
    <xf borderId="1" fillId="0" fontId="1" numFmtId="3" xfId="0" applyBorder="1" applyFont="1" applyNumberFormat="1"/>
    <xf borderId="1" fillId="0" fontId="2" numFmtId="3" xfId="0" applyAlignment="1" applyBorder="1" applyFont="1" applyNumberFormat="1">
      <alignment readingOrder="0"/>
    </xf>
    <xf borderId="1" fillId="0" fontId="1" numFmtId="3" xfId="0" applyAlignment="1" applyBorder="1" applyFont="1" applyNumberFormat="1">
      <alignment readingOrder="0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0" fontId="1" numFmtId="0" xfId="0" applyAlignment="1" applyBorder="1" applyFont="1">
      <alignment readingOrder="0"/>
    </xf>
    <xf borderId="1" fillId="5" fontId="2" numFmtId="0" xfId="0" applyAlignment="1" applyBorder="1" applyFont="1">
      <alignment readingOrder="0"/>
    </xf>
    <xf borderId="1" fillId="5" fontId="1" numFmtId="0" xfId="0" applyBorder="1" applyFont="1"/>
    <xf borderId="1" fillId="4" fontId="2" numFmtId="0" xfId="0" applyAlignment="1" applyBorder="1" applyFont="1">
      <alignment readingOrder="0"/>
    </xf>
    <xf borderId="1" fillId="4" fontId="1" numFmtId="0" xfId="0" applyBorder="1" applyFont="1"/>
    <xf borderId="1" fillId="2" fontId="1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1" fillId="0" fontId="2" numFmtId="3" xfId="0" applyAlignment="1" applyBorder="1" applyFont="1" applyNumberFormat="1">
      <alignment readingOrder="0" shrinkToFit="0" vertical="center" wrapText="1"/>
    </xf>
    <xf borderId="1" fillId="0" fontId="2" numFmtId="3" xfId="0" applyAlignment="1" applyBorder="1" applyFont="1" applyNumberFormat="1">
      <alignment shrinkToFit="0" vertical="center" wrapText="1"/>
    </xf>
    <xf borderId="1" fillId="0" fontId="2" numFmtId="10" xfId="0" applyAlignment="1" applyBorder="1" applyFont="1" applyNumberFormat="1">
      <alignment readingOrder="0" shrinkToFit="0" vertical="center" wrapText="1"/>
    </xf>
    <xf borderId="1" fillId="2" fontId="1" numFmtId="0" xfId="0" applyAlignment="1" applyBorder="1" applyFont="1">
      <alignment shrinkToFit="0" vertical="center" wrapText="1"/>
    </xf>
    <xf borderId="1" fillId="2" fontId="1" numFmtId="3" xfId="0" applyAlignment="1" applyBorder="1" applyFont="1" applyNumberFormat="1">
      <alignment shrinkToFit="0" vertical="center" wrapText="1"/>
    </xf>
    <xf borderId="0" fillId="2" fontId="1" numFmtId="0" xfId="0" applyAlignment="1" applyFont="1">
      <alignment shrinkToFit="0" vertical="center" wrapText="1"/>
    </xf>
    <xf borderId="1" fillId="0" fontId="1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75"/>
  <cols>
    <col customWidth="1" min="1" max="1" width="26.25"/>
    <col customWidth="1" min="2" max="2" width="12.13"/>
    <col customWidth="1" min="3" max="3" width="11.0"/>
  </cols>
  <sheetData>
    <row r="1">
      <c r="A1" s="1"/>
      <c r="B1" s="2"/>
      <c r="C1" s="2"/>
      <c r="D1" s="2" t="s">
        <v>0</v>
      </c>
      <c r="H1" s="2" t="s">
        <v>1</v>
      </c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1"/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5</v>
      </c>
      <c r="I2" s="2" t="s">
        <v>6</v>
      </c>
      <c r="J2" s="2" t="s">
        <v>7</v>
      </c>
      <c r="K2" s="2" t="s">
        <v>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A3" s="3" t="s">
        <v>9</v>
      </c>
      <c r="B3" s="4">
        <f>'Плановая выручка, себестоимость'!F9</f>
        <v>347309.4</v>
      </c>
      <c r="C3" s="4"/>
      <c r="D3" s="4"/>
      <c r="E3" s="4"/>
      <c r="F3" s="4"/>
      <c r="G3" s="4"/>
      <c r="H3" s="4"/>
      <c r="I3" s="4"/>
      <c r="J3" s="4"/>
      <c r="K3" s="4"/>
    </row>
    <row r="4">
      <c r="A4" s="3" t="s">
        <v>10</v>
      </c>
      <c r="D4" s="5">
        <v>0.5</v>
      </c>
      <c r="E4" s="5">
        <v>0.7</v>
      </c>
      <c r="F4" s="5">
        <v>0.8</v>
      </c>
      <c r="G4" s="5">
        <v>0.8</v>
      </c>
      <c r="H4" s="5">
        <v>1.0</v>
      </c>
      <c r="I4" s="5">
        <v>1.0</v>
      </c>
      <c r="J4" s="5">
        <v>1.0</v>
      </c>
      <c r="K4" s="5">
        <v>1.0</v>
      </c>
    </row>
    <row r="5">
      <c r="A5" s="6" t="s">
        <v>11</v>
      </c>
      <c r="B5" s="7"/>
      <c r="C5" s="7"/>
      <c r="D5" s="7">
        <f t="shared" ref="D5:K5" si="1">$B$3*D4*3</f>
        <v>520964.1</v>
      </c>
      <c r="E5" s="7">
        <f t="shared" si="1"/>
        <v>729349.74</v>
      </c>
      <c r="F5" s="7">
        <f t="shared" si="1"/>
        <v>833542.56</v>
      </c>
      <c r="G5" s="7">
        <f t="shared" si="1"/>
        <v>833542.56</v>
      </c>
      <c r="H5" s="7">
        <f t="shared" si="1"/>
        <v>1041928.2</v>
      </c>
      <c r="I5" s="7">
        <f t="shared" si="1"/>
        <v>1041928.2</v>
      </c>
      <c r="J5" s="7">
        <f t="shared" si="1"/>
        <v>1041928.2</v>
      </c>
      <c r="K5" s="7">
        <f t="shared" si="1"/>
        <v>1041928.2</v>
      </c>
      <c r="L5" s="7">
        <f>SUM(D5:K5)</f>
        <v>7085111.76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>
      <c r="B6" s="4"/>
      <c r="C6" s="4"/>
      <c r="D6" s="4"/>
      <c r="E6" s="4"/>
      <c r="F6" s="4"/>
      <c r="G6" s="4"/>
      <c r="H6" s="4"/>
      <c r="I6" s="4"/>
      <c r="J6" s="4"/>
      <c r="K6" s="4"/>
    </row>
    <row r="7">
      <c r="A7" s="6" t="s">
        <v>12</v>
      </c>
      <c r="B7" s="9"/>
      <c r="C7" s="9">
        <v>1040000.0</v>
      </c>
      <c r="D7" s="7"/>
      <c r="E7" s="7"/>
      <c r="F7" s="7"/>
      <c r="G7" s="7"/>
      <c r="H7" s="7"/>
      <c r="I7" s="7"/>
      <c r="J7" s="7"/>
      <c r="K7" s="7"/>
      <c r="L7" s="10">
        <f>SUM(C7)</f>
        <v>1040000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>
      <c r="A8" s="2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A9" s="6" t="s">
        <v>13</v>
      </c>
      <c r="B9" s="7">
        <f t="shared" ref="B9:L9" si="2">SUM(B10:B13)</f>
        <v>130555</v>
      </c>
      <c r="C9" s="7">
        <f t="shared" si="2"/>
        <v>0</v>
      </c>
      <c r="D9" s="7">
        <f t="shared" si="2"/>
        <v>220339.5</v>
      </c>
      <c r="E9" s="7">
        <f t="shared" si="2"/>
        <v>288869.7</v>
      </c>
      <c r="F9" s="7">
        <f t="shared" si="2"/>
        <v>323134.8</v>
      </c>
      <c r="G9" s="7">
        <f t="shared" si="2"/>
        <v>323134.8</v>
      </c>
      <c r="H9" s="7">
        <f t="shared" si="2"/>
        <v>391665</v>
      </c>
      <c r="I9" s="7">
        <f t="shared" si="2"/>
        <v>391665</v>
      </c>
      <c r="J9" s="7">
        <f t="shared" si="2"/>
        <v>391665</v>
      </c>
      <c r="K9" s="7">
        <f t="shared" si="2"/>
        <v>391665</v>
      </c>
      <c r="L9" s="7">
        <f t="shared" si="2"/>
        <v>2722138.8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>
      <c r="A10" s="3" t="s">
        <v>14</v>
      </c>
      <c r="B10" s="4">
        <f>'Плановая выручка, себестоимость'!F12</f>
        <v>68530.2</v>
      </c>
      <c r="C10" s="4"/>
      <c r="D10" s="4">
        <f t="shared" ref="D10:K10" si="3">$B$10*3*D4</f>
        <v>102795.3</v>
      </c>
      <c r="E10" s="4">
        <f t="shared" si="3"/>
        <v>143913.42</v>
      </c>
      <c r="F10" s="4">
        <f t="shared" si="3"/>
        <v>164472.48</v>
      </c>
      <c r="G10" s="4">
        <f t="shared" si="3"/>
        <v>164472.48</v>
      </c>
      <c r="H10" s="4">
        <f t="shared" si="3"/>
        <v>205590.6</v>
      </c>
      <c r="I10" s="4">
        <f t="shared" si="3"/>
        <v>205590.6</v>
      </c>
      <c r="J10" s="4">
        <f t="shared" si="3"/>
        <v>205590.6</v>
      </c>
      <c r="K10" s="4">
        <f t="shared" si="3"/>
        <v>205590.6</v>
      </c>
      <c r="L10" s="4">
        <f t="shared" ref="L10:L12" si="5">SUM(D10:K10)</f>
        <v>1398016.08</v>
      </c>
    </row>
    <row r="11">
      <c r="A11" s="3" t="s">
        <v>15</v>
      </c>
      <c r="B11" s="4">
        <f>'Плановая выручка, себестоимость'!F15</f>
        <v>45686.8</v>
      </c>
      <c r="C11" s="4"/>
      <c r="D11" s="4">
        <f t="shared" ref="D11:K11" si="4">$B$11*3*D4</f>
        <v>68530.2</v>
      </c>
      <c r="E11" s="4">
        <f t="shared" si="4"/>
        <v>95942.28</v>
      </c>
      <c r="F11" s="4">
        <f t="shared" si="4"/>
        <v>109648.32</v>
      </c>
      <c r="G11" s="4">
        <f t="shared" si="4"/>
        <v>109648.32</v>
      </c>
      <c r="H11" s="4">
        <f t="shared" si="4"/>
        <v>137060.4</v>
      </c>
      <c r="I11" s="4">
        <f t="shared" si="4"/>
        <v>137060.4</v>
      </c>
      <c r="J11" s="4">
        <f t="shared" si="4"/>
        <v>137060.4</v>
      </c>
      <c r="K11" s="4">
        <f t="shared" si="4"/>
        <v>137060.4</v>
      </c>
      <c r="L11" s="4">
        <f t="shared" si="5"/>
        <v>932010.72</v>
      </c>
    </row>
    <row r="12">
      <c r="A12" s="3" t="s">
        <v>16</v>
      </c>
      <c r="B12" s="4">
        <f>'комуслуги'!B11</f>
        <v>16338</v>
      </c>
      <c r="C12" s="4"/>
      <c r="D12" s="4">
        <f t="shared" ref="D12:K12" si="6">$B$12*3</f>
        <v>49014</v>
      </c>
      <c r="E12" s="4">
        <f t="shared" si="6"/>
        <v>49014</v>
      </c>
      <c r="F12" s="4">
        <f t="shared" si="6"/>
        <v>49014</v>
      </c>
      <c r="G12" s="4">
        <f t="shared" si="6"/>
        <v>49014</v>
      </c>
      <c r="H12" s="4">
        <f t="shared" si="6"/>
        <v>49014</v>
      </c>
      <c r="I12" s="4">
        <f t="shared" si="6"/>
        <v>49014</v>
      </c>
      <c r="J12" s="4">
        <f t="shared" si="6"/>
        <v>49014</v>
      </c>
      <c r="K12" s="4">
        <f t="shared" si="6"/>
        <v>49014</v>
      </c>
      <c r="L12" s="4">
        <f t="shared" si="5"/>
        <v>392112</v>
      </c>
    </row>
    <row r="13">
      <c r="B13" s="4"/>
      <c r="C13" s="4"/>
      <c r="D13" s="4"/>
      <c r="E13" s="4"/>
      <c r="F13" s="4"/>
      <c r="G13" s="4"/>
      <c r="H13" s="4"/>
      <c r="I13" s="4"/>
      <c r="J13" s="4"/>
      <c r="K13" s="4"/>
    </row>
    <row r="14">
      <c r="B14" s="4"/>
      <c r="C14" s="4"/>
      <c r="D14" s="4"/>
      <c r="E14" s="4"/>
      <c r="F14" s="4"/>
      <c r="G14" s="4"/>
      <c r="H14" s="4"/>
      <c r="I14" s="4"/>
      <c r="J14" s="4"/>
      <c r="K14" s="4"/>
    </row>
    <row r="15">
      <c r="A15" s="6" t="s">
        <v>17</v>
      </c>
      <c r="B15" s="9">
        <v>97100.0</v>
      </c>
      <c r="C15" s="7"/>
      <c r="D15" s="9">
        <f t="shared" ref="D15:K15" si="7">$B$15*3</f>
        <v>291300</v>
      </c>
      <c r="E15" s="9">
        <f t="shared" si="7"/>
        <v>291300</v>
      </c>
      <c r="F15" s="9">
        <f t="shared" si="7"/>
        <v>291300</v>
      </c>
      <c r="G15" s="9">
        <f t="shared" si="7"/>
        <v>291300</v>
      </c>
      <c r="H15" s="9">
        <f t="shared" si="7"/>
        <v>291300</v>
      </c>
      <c r="I15" s="9">
        <f t="shared" si="7"/>
        <v>291300</v>
      </c>
      <c r="J15" s="9">
        <f t="shared" si="7"/>
        <v>291300</v>
      </c>
      <c r="K15" s="9">
        <f t="shared" si="7"/>
        <v>291300</v>
      </c>
      <c r="L15" s="7">
        <f>SUM(D15:K15)</f>
        <v>2330400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>
      <c r="B16" s="4"/>
      <c r="C16" s="4"/>
      <c r="D16" s="4"/>
      <c r="E16" s="4"/>
      <c r="F16" s="4"/>
      <c r="G16" s="4"/>
      <c r="H16" s="4"/>
      <c r="I16" s="4"/>
      <c r="J16" s="4"/>
      <c r="K16" s="4"/>
    </row>
    <row r="17">
      <c r="A17" s="3" t="s">
        <v>18</v>
      </c>
      <c r="B17" s="4"/>
      <c r="C17" s="4"/>
      <c r="D17" s="4">
        <f t="shared" ref="D17:K17" si="8">D5*0.06</f>
        <v>31257.846</v>
      </c>
      <c r="E17" s="4">
        <f t="shared" si="8"/>
        <v>43760.9844</v>
      </c>
      <c r="F17" s="4">
        <f t="shared" si="8"/>
        <v>50012.5536</v>
      </c>
      <c r="G17" s="4">
        <f t="shared" si="8"/>
        <v>50012.5536</v>
      </c>
      <c r="H17" s="4">
        <f t="shared" si="8"/>
        <v>62515.692</v>
      </c>
      <c r="I17" s="4">
        <f t="shared" si="8"/>
        <v>62515.692</v>
      </c>
      <c r="J17" s="4">
        <f t="shared" si="8"/>
        <v>62515.692</v>
      </c>
      <c r="K17" s="4">
        <f t="shared" si="8"/>
        <v>62515.692</v>
      </c>
      <c r="L17" s="4">
        <f t="shared" ref="L17:L18" si="9">SUM(D17:K17)</f>
        <v>425106.7056</v>
      </c>
    </row>
    <row r="18">
      <c r="A18" s="3" t="s">
        <v>19</v>
      </c>
      <c r="B18" s="4"/>
      <c r="C18" s="4"/>
      <c r="D18" s="12">
        <v>43211.0</v>
      </c>
      <c r="E18" s="4"/>
      <c r="F18" s="4"/>
      <c r="G18" s="4"/>
      <c r="H18" s="12">
        <v>43211.0</v>
      </c>
      <c r="I18" s="4"/>
      <c r="J18" s="4"/>
      <c r="K18" s="4"/>
      <c r="L18" s="4">
        <f t="shared" si="9"/>
        <v>86422</v>
      </c>
    </row>
    <row r="19">
      <c r="A19" s="13" t="s">
        <v>20</v>
      </c>
      <c r="B19" s="14"/>
      <c r="C19" s="14"/>
      <c r="D19" s="14">
        <f t="shared" ref="D19:L19" si="10">D5-D9</f>
        <v>300624.6</v>
      </c>
      <c r="E19" s="14">
        <f t="shared" si="10"/>
        <v>440480.04</v>
      </c>
      <c r="F19" s="14">
        <f t="shared" si="10"/>
        <v>510407.76</v>
      </c>
      <c r="G19" s="14">
        <f t="shared" si="10"/>
        <v>510407.76</v>
      </c>
      <c r="H19" s="14">
        <f t="shared" si="10"/>
        <v>650263.2</v>
      </c>
      <c r="I19" s="14">
        <f t="shared" si="10"/>
        <v>650263.2</v>
      </c>
      <c r="J19" s="14">
        <f t="shared" si="10"/>
        <v>650263.2</v>
      </c>
      <c r="K19" s="14">
        <f t="shared" si="10"/>
        <v>650263.2</v>
      </c>
      <c r="L19" s="14">
        <f t="shared" si="10"/>
        <v>4362972.96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15.0" customHeight="1">
      <c r="A20" s="16" t="s">
        <v>21</v>
      </c>
      <c r="B20" s="17"/>
      <c r="C20" s="17"/>
      <c r="D20" s="18">
        <f t="shared" ref="D20:L20" si="11">D19/D5</f>
        <v>0.5770543498</v>
      </c>
      <c r="E20" s="18">
        <f t="shared" si="11"/>
        <v>0.6039352808</v>
      </c>
      <c r="F20" s="18">
        <f t="shared" si="11"/>
        <v>0.6123355717</v>
      </c>
      <c r="G20" s="18">
        <f t="shared" si="11"/>
        <v>0.6123355717</v>
      </c>
      <c r="H20" s="18">
        <f t="shared" si="11"/>
        <v>0.624095979</v>
      </c>
      <c r="I20" s="18">
        <f t="shared" si="11"/>
        <v>0.624095979</v>
      </c>
      <c r="J20" s="18">
        <f t="shared" si="11"/>
        <v>0.624095979</v>
      </c>
      <c r="K20" s="18">
        <f t="shared" si="11"/>
        <v>0.624095979</v>
      </c>
      <c r="L20" s="18">
        <f t="shared" si="11"/>
        <v>0.615794515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>
      <c r="A21" s="13" t="s">
        <v>22</v>
      </c>
      <c r="B21" s="15"/>
      <c r="C21" s="14">
        <f t="shared" ref="C21:L21" si="12">C5-C7-C9-C15-C17-C18</f>
        <v>-1040000</v>
      </c>
      <c r="D21" s="14">
        <f t="shared" si="12"/>
        <v>-65144.246</v>
      </c>
      <c r="E21" s="14">
        <f t="shared" si="12"/>
        <v>105419.0556</v>
      </c>
      <c r="F21" s="14">
        <f t="shared" si="12"/>
        <v>169095.2064</v>
      </c>
      <c r="G21" s="14">
        <f t="shared" si="12"/>
        <v>169095.2064</v>
      </c>
      <c r="H21" s="14">
        <f t="shared" si="12"/>
        <v>253236.508</v>
      </c>
      <c r="I21" s="14">
        <f t="shared" si="12"/>
        <v>296447.508</v>
      </c>
      <c r="J21" s="14">
        <f t="shared" si="12"/>
        <v>296447.508</v>
      </c>
      <c r="K21" s="14">
        <f t="shared" si="12"/>
        <v>296447.508</v>
      </c>
      <c r="L21" s="14">
        <f t="shared" si="12"/>
        <v>481044.2544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>
      <c r="A22" s="3" t="s">
        <v>23</v>
      </c>
      <c r="D22" s="4">
        <f>C21+D21</f>
        <v>-1105144.246</v>
      </c>
      <c r="E22" s="4">
        <f t="shared" ref="E22:K22" si="13">D22+E21</f>
        <v>-999725.1904</v>
      </c>
      <c r="F22" s="4">
        <f t="shared" si="13"/>
        <v>-830629.984</v>
      </c>
      <c r="G22" s="4">
        <f t="shared" si="13"/>
        <v>-661534.7776</v>
      </c>
      <c r="H22" s="4">
        <f t="shared" si="13"/>
        <v>-408298.2696</v>
      </c>
      <c r="I22" s="4">
        <f t="shared" si="13"/>
        <v>-111850.7616</v>
      </c>
      <c r="J22" s="4">
        <f t="shared" si="13"/>
        <v>184596.7464</v>
      </c>
      <c r="K22" s="4">
        <f t="shared" si="13"/>
        <v>481044.2544</v>
      </c>
    </row>
    <row r="23">
      <c r="A23" s="3"/>
      <c r="B23" s="19"/>
    </row>
    <row r="24">
      <c r="A24" s="20" t="s">
        <v>24</v>
      </c>
      <c r="B24" s="21">
        <f>L21/L5</f>
        <v>0.06789508348</v>
      </c>
    </row>
    <row r="25">
      <c r="A25" s="20" t="s">
        <v>25</v>
      </c>
      <c r="B25" s="22">
        <f>COUNTIF(22:22,"&lt;0")*3</f>
        <v>18</v>
      </c>
    </row>
  </sheetData>
  <mergeCells count="2">
    <mergeCell ref="D1:G1"/>
    <mergeCell ref="H1:K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63"/>
    <col customWidth="1" min="2" max="2" width="9.5"/>
    <col customWidth="1" min="3" max="3" width="8.75"/>
    <col customWidth="1" min="4" max="4" width="9.38"/>
    <col customWidth="1" min="5" max="5" width="8.0"/>
  </cols>
  <sheetData>
    <row r="1">
      <c r="F1" s="2" t="s">
        <v>2</v>
      </c>
    </row>
    <row r="2">
      <c r="A2" s="23" t="s">
        <v>26</v>
      </c>
      <c r="B2" s="23">
        <v>1.8</v>
      </c>
      <c r="C2" s="23">
        <v>1.8</v>
      </c>
      <c r="D2" s="23">
        <v>1.8</v>
      </c>
      <c r="E2" s="23">
        <v>1.8</v>
      </c>
      <c r="F2" s="24"/>
    </row>
    <row r="3">
      <c r="A3" s="23" t="s">
        <v>27</v>
      </c>
      <c r="B3" s="23">
        <v>32.0</v>
      </c>
      <c r="C3" s="23">
        <v>40.0</v>
      </c>
      <c r="D3" s="23">
        <v>50.0</v>
      </c>
      <c r="E3" s="23">
        <v>60.0</v>
      </c>
      <c r="F3" s="24"/>
    </row>
    <row r="4">
      <c r="A4" s="23" t="s">
        <v>28</v>
      </c>
      <c r="B4" s="23">
        <f>0.64/1000</f>
        <v>0.00064</v>
      </c>
      <c r="C4" s="23">
        <f>0.787/1000</f>
        <v>0.000787</v>
      </c>
      <c r="D4" s="23">
        <f>0.967/1000</f>
        <v>0.000967</v>
      </c>
      <c r="E4" s="23">
        <f>1.16/1000</f>
        <v>0.00116</v>
      </c>
      <c r="F4" s="24"/>
    </row>
    <row r="5">
      <c r="A5" s="25" t="s">
        <v>29</v>
      </c>
      <c r="B5" s="26">
        <v>1000.0</v>
      </c>
      <c r="C5" s="26">
        <v>2000.0</v>
      </c>
      <c r="D5" s="26">
        <v>3500.0</v>
      </c>
      <c r="E5" s="26">
        <v>5020.0</v>
      </c>
      <c r="F5" s="27">
        <f>SUM(B5:E5)</f>
        <v>11520</v>
      </c>
    </row>
    <row r="6">
      <c r="A6" s="28" t="s">
        <v>30</v>
      </c>
      <c r="B6" s="29">
        <v>400.0</v>
      </c>
      <c r="C6" s="29">
        <v>400.0</v>
      </c>
      <c r="D6" s="29">
        <v>400.0</v>
      </c>
      <c r="E6" s="29">
        <v>400.0</v>
      </c>
      <c r="F6" s="30"/>
    </row>
    <row r="7">
      <c r="A7" s="25" t="s">
        <v>31</v>
      </c>
      <c r="B7" s="31">
        <f t="shared" ref="B7:E7" si="1">B4*B5*B6</f>
        <v>256</v>
      </c>
      <c r="C7" s="31">
        <f t="shared" si="1"/>
        <v>629.6</v>
      </c>
      <c r="D7" s="31">
        <f t="shared" si="1"/>
        <v>1353.8</v>
      </c>
      <c r="E7" s="31">
        <f t="shared" si="1"/>
        <v>2329.28</v>
      </c>
      <c r="F7" s="27">
        <f>SUM(B7:E7)</f>
        <v>4568.68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28" t="s">
        <v>32</v>
      </c>
      <c r="B8" s="32">
        <v>60.0</v>
      </c>
      <c r="C8" s="32">
        <v>70.0</v>
      </c>
      <c r="D8" s="32">
        <v>75.0</v>
      </c>
      <c r="E8" s="32">
        <v>80.0</v>
      </c>
      <c r="F8" s="3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25" t="s">
        <v>33</v>
      </c>
      <c r="B9" s="33">
        <f t="shared" ref="B9:E9" si="2">B7*B8</f>
        <v>15360</v>
      </c>
      <c r="C9" s="33">
        <f t="shared" si="2"/>
        <v>44072</v>
      </c>
      <c r="D9" s="33">
        <f t="shared" si="2"/>
        <v>101535</v>
      </c>
      <c r="E9" s="33">
        <f t="shared" si="2"/>
        <v>186342.4</v>
      </c>
      <c r="F9" s="27">
        <f>SUM(B9:E9)</f>
        <v>347309.4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1">
      <c r="A11" s="34" t="s">
        <v>34</v>
      </c>
      <c r="B11" s="34">
        <v>15.0</v>
      </c>
      <c r="C11" s="34">
        <v>15.0</v>
      </c>
      <c r="D11" s="34">
        <v>15.0</v>
      </c>
      <c r="E11" s="34">
        <v>15.0</v>
      </c>
      <c r="F11" s="35"/>
    </row>
    <row r="12">
      <c r="A12" s="25" t="s">
        <v>35</v>
      </c>
      <c r="B12" s="33">
        <f t="shared" ref="B12:E12" si="3">B11*B7</f>
        <v>3840</v>
      </c>
      <c r="C12" s="33">
        <f t="shared" si="3"/>
        <v>9444</v>
      </c>
      <c r="D12" s="33">
        <f t="shared" si="3"/>
        <v>20307</v>
      </c>
      <c r="E12" s="33">
        <f t="shared" si="3"/>
        <v>34939.2</v>
      </c>
      <c r="F12" s="27">
        <f>SUM(B12:E12)</f>
        <v>68530.2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>
      <c r="A13" s="34" t="s">
        <v>36</v>
      </c>
      <c r="B13" s="34">
        <v>1.0</v>
      </c>
      <c r="C13" s="34">
        <v>1.0</v>
      </c>
      <c r="D13" s="34">
        <v>1.0</v>
      </c>
      <c r="E13" s="34">
        <v>1.0</v>
      </c>
      <c r="F13" s="35"/>
    </row>
    <row r="14">
      <c r="A14" s="34" t="s">
        <v>37</v>
      </c>
      <c r="B14" s="34">
        <v>10.0</v>
      </c>
      <c r="C14" s="34">
        <v>10.0</v>
      </c>
      <c r="D14" s="34">
        <v>10.0</v>
      </c>
      <c r="E14" s="34">
        <v>10.0</v>
      </c>
      <c r="F14" s="35"/>
    </row>
    <row r="15">
      <c r="A15" s="25" t="s">
        <v>38</v>
      </c>
      <c r="B15" s="33">
        <f t="shared" ref="B15:E15" si="4">B7*B13*B14</f>
        <v>2560</v>
      </c>
      <c r="C15" s="33">
        <f t="shared" si="4"/>
        <v>6296</v>
      </c>
      <c r="D15" s="33">
        <f t="shared" si="4"/>
        <v>13538</v>
      </c>
      <c r="E15" s="33">
        <f t="shared" si="4"/>
        <v>23292.8</v>
      </c>
      <c r="F15" s="27">
        <f>SUM(B15:E15)</f>
        <v>45686.8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38"/>
    <col customWidth="1" min="2" max="2" width="21.0"/>
    <col customWidth="1" min="3" max="3" width="24.13"/>
    <col customWidth="1" min="4" max="4" width="22.25"/>
    <col customWidth="1" min="5" max="5" width="16.13"/>
    <col customWidth="1" min="6" max="6" width="22.75"/>
  </cols>
  <sheetData>
    <row r="1">
      <c r="A1" s="35"/>
      <c r="B1" s="36" t="s">
        <v>39</v>
      </c>
      <c r="C1" s="36" t="s">
        <v>40</v>
      </c>
      <c r="D1" s="36" t="s">
        <v>41</v>
      </c>
    </row>
    <row r="2">
      <c r="A2" s="34" t="s">
        <v>42</v>
      </c>
      <c r="B2" s="36">
        <f>C2*D2</f>
        <v>1350</v>
      </c>
      <c r="C2" s="34">
        <v>45.0</v>
      </c>
      <c r="D2" s="34">
        <v>30.0</v>
      </c>
    </row>
    <row r="3">
      <c r="A3" s="34"/>
      <c r="B3" s="36"/>
      <c r="C3" s="3"/>
      <c r="D3" s="3"/>
      <c r="E3" s="3"/>
    </row>
    <row r="4">
      <c r="A4" s="34"/>
      <c r="B4" s="36"/>
      <c r="C4" s="36" t="s">
        <v>40</v>
      </c>
      <c r="D4" s="36" t="s">
        <v>43</v>
      </c>
      <c r="E4" s="36" t="s">
        <v>44</v>
      </c>
    </row>
    <row r="5">
      <c r="A5" s="34" t="s">
        <v>45</v>
      </c>
      <c r="B5" s="36">
        <f>C5*E5</f>
        <v>2700</v>
      </c>
      <c r="C5" s="37">
        <v>90.0</v>
      </c>
      <c r="D5" s="37"/>
      <c r="E5" s="34">
        <v>30.0</v>
      </c>
    </row>
    <row r="6">
      <c r="A6" s="34"/>
      <c r="B6" s="38"/>
      <c r="C6" s="3"/>
      <c r="D6" s="3"/>
      <c r="E6" s="3"/>
      <c r="F6" s="3"/>
    </row>
    <row r="7">
      <c r="A7" s="36" t="s">
        <v>46</v>
      </c>
      <c r="B7" s="38">
        <f>SUM(B8:B9)</f>
        <v>12288</v>
      </c>
      <c r="C7" s="36" t="s">
        <v>47</v>
      </c>
      <c r="D7" s="36" t="s">
        <v>48</v>
      </c>
      <c r="E7" s="36" t="s">
        <v>49</v>
      </c>
      <c r="F7" s="36" t="s">
        <v>50</v>
      </c>
    </row>
    <row r="8">
      <c r="A8" s="34" t="s">
        <v>51</v>
      </c>
      <c r="B8" s="35">
        <f t="shared" ref="B8:B10" si="1">E8*F8</f>
        <v>7680</v>
      </c>
      <c r="C8" s="34">
        <v>5.0</v>
      </c>
      <c r="D8" s="35">
        <f t="shared" ref="D8:D9" si="2">6*8*4</f>
        <v>192</v>
      </c>
      <c r="E8" s="34">
        <f t="shared" ref="E8:E9" si="3">C8*D8</f>
        <v>960</v>
      </c>
      <c r="F8" s="34">
        <v>8.0</v>
      </c>
    </row>
    <row r="9">
      <c r="A9" s="34" t="s">
        <v>52</v>
      </c>
      <c r="B9" s="35">
        <f t="shared" si="1"/>
        <v>4608</v>
      </c>
      <c r="C9" s="34">
        <v>3.0</v>
      </c>
      <c r="D9" s="35">
        <f t="shared" si="2"/>
        <v>192</v>
      </c>
      <c r="E9" s="34">
        <f t="shared" si="3"/>
        <v>576</v>
      </c>
      <c r="F9" s="34">
        <v>8.0</v>
      </c>
    </row>
    <row r="10">
      <c r="A10" s="34" t="s">
        <v>53</v>
      </c>
      <c r="B10" s="35">
        <f t="shared" si="1"/>
        <v>2400</v>
      </c>
      <c r="C10" s="35"/>
      <c r="D10" s="35"/>
      <c r="E10" s="34">
        <v>300.0</v>
      </c>
      <c r="F10" s="34">
        <v>8.0</v>
      </c>
    </row>
    <row r="11">
      <c r="A11" s="39" t="s">
        <v>54</v>
      </c>
      <c r="B11" s="40">
        <f>B2+B5+B7</f>
        <v>16338</v>
      </c>
    </row>
    <row r="14">
      <c r="A14" s="3" t="s">
        <v>55</v>
      </c>
      <c r="B14" s="3" t="s">
        <v>56</v>
      </c>
    </row>
    <row r="15">
      <c r="A15" s="34" t="s">
        <v>57</v>
      </c>
      <c r="B15" s="35">
        <v>7680.0</v>
      </c>
    </row>
    <row r="16">
      <c r="A16" s="34" t="s">
        <v>58</v>
      </c>
      <c r="B16" s="35">
        <v>4608.0</v>
      </c>
    </row>
    <row r="17">
      <c r="A17" s="34" t="s">
        <v>53</v>
      </c>
      <c r="B17" s="35">
        <v>2400.0</v>
      </c>
    </row>
    <row r="18">
      <c r="A18" s="39" t="s">
        <v>54</v>
      </c>
      <c r="B18" s="40">
        <v>16338.0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38"/>
    <col customWidth="1" min="4" max="4" width="12.88"/>
    <col customWidth="1" min="5" max="5" width="15.0"/>
    <col customWidth="1" min="6" max="6" width="14.0"/>
  </cols>
  <sheetData>
    <row r="1">
      <c r="A1" s="41" t="s">
        <v>59</v>
      </c>
      <c r="B1" s="41" t="s">
        <v>60</v>
      </c>
      <c r="C1" s="41" t="s">
        <v>61</v>
      </c>
      <c r="D1" s="41" t="s">
        <v>62</v>
      </c>
      <c r="E1" s="41" t="s">
        <v>63</v>
      </c>
      <c r="F1" s="41" t="s">
        <v>64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>
      <c r="A2" s="43" t="s">
        <v>65</v>
      </c>
      <c r="B2" s="44">
        <v>600000.0</v>
      </c>
      <c r="C2" s="44">
        <v>50.0</v>
      </c>
      <c r="D2" s="45">
        <f t="shared" ref="D2:D5" si="1">B2/C2/12</f>
        <v>1000</v>
      </c>
      <c r="E2" s="46">
        <v>0.019</v>
      </c>
      <c r="F2" s="45">
        <f t="shared" ref="F2:F5" si="2">B2*E2/12</f>
        <v>950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>
      <c r="A3" s="43" t="s">
        <v>51</v>
      </c>
      <c r="B3" s="44">
        <v>550000.0</v>
      </c>
      <c r="C3" s="44">
        <v>10.0</v>
      </c>
      <c r="D3" s="45">
        <f t="shared" si="1"/>
        <v>4583.333333</v>
      </c>
      <c r="E3" s="46">
        <v>0.019</v>
      </c>
      <c r="F3" s="45">
        <f t="shared" si="2"/>
        <v>870.8333333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>
      <c r="A4" s="43" t="s">
        <v>66</v>
      </c>
      <c r="B4" s="44">
        <v>180000.0</v>
      </c>
      <c r="C4" s="44">
        <v>5.0</v>
      </c>
      <c r="D4" s="45">
        <f t="shared" si="1"/>
        <v>3000</v>
      </c>
      <c r="E4" s="46">
        <v>0.019</v>
      </c>
      <c r="F4" s="45">
        <f t="shared" si="2"/>
        <v>285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>
      <c r="A5" s="43" t="s">
        <v>52</v>
      </c>
      <c r="B5" s="44">
        <v>150000.0</v>
      </c>
      <c r="C5" s="44">
        <v>10.0</v>
      </c>
      <c r="D5" s="45">
        <f t="shared" si="1"/>
        <v>1250</v>
      </c>
      <c r="E5" s="46">
        <v>0.019</v>
      </c>
      <c r="F5" s="45">
        <f t="shared" si="2"/>
        <v>237.5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>
      <c r="A6" s="41" t="s">
        <v>2</v>
      </c>
      <c r="B6" s="47"/>
      <c r="C6" s="47"/>
      <c r="D6" s="48">
        <f>SUM(D2:D5)</f>
        <v>9833.333333</v>
      </c>
      <c r="E6" s="47"/>
      <c r="F6" s="48">
        <f>SUM(F2:F5)</f>
        <v>2343.333333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>
      <c r="A1001" s="42"/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4.75"/>
  </cols>
  <sheetData>
    <row r="1">
      <c r="A1" s="25" t="s">
        <v>67</v>
      </c>
      <c r="B1" s="25" t="s">
        <v>68</v>
      </c>
    </row>
    <row r="2">
      <c r="A2" s="28" t="s">
        <v>69</v>
      </c>
      <c r="B2" s="28">
        <v>50000.0</v>
      </c>
    </row>
    <row r="3">
      <c r="A3" s="28" t="s">
        <v>70</v>
      </c>
      <c r="B3" s="28">
        <v>15000.0</v>
      </c>
    </row>
    <row r="4">
      <c r="A4" s="28" t="s">
        <v>71</v>
      </c>
      <c r="B4" s="28">
        <v>10000.0</v>
      </c>
    </row>
    <row r="5">
      <c r="A5" s="28" t="s">
        <v>72</v>
      </c>
      <c r="B5" s="28">
        <v>10000.0</v>
      </c>
    </row>
    <row r="6">
      <c r="A6" s="28" t="s">
        <v>73</v>
      </c>
      <c r="B6" s="28">
        <v>9833.0</v>
      </c>
    </row>
    <row r="7">
      <c r="A7" s="28" t="s">
        <v>74</v>
      </c>
      <c r="B7" s="28">
        <v>2343.0</v>
      </c>
    </row>
    <row r="8">
      <c r="A8" s="25" t="s">
        <v>2</v>
      </c>
      <c r="B8" s="50">
        <f>SUM(B2:B7)</f>
        <v>97176</v>
      </c>
    </row>
  </sheetData>
  <drawing r:id="rId1"/>
</worksheet>
</file>